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75" windowHeight="8040"/>
  </bookViews>
  <sheets>
    <sheet name="Sheet1" sheetId="1" r:id="rId1"/>
    <sheet name="Sheet2" sheetId="2" r:id="rId2"/>
    <sheet name="Sheet3" sheetId="3" state="hidden" r:id="rId3"/>
    <sheet name="Sheet4" sheetId="4" state="hidden" r:id="rId4"/>
  </sheets>
  <calcPr calcId="125725"/>
</workbook>
</file>

<file path=xl/calcChain.xml><?xml version="1.0" encoding="utf-8"?>
<calcChain xmlns="http://schemas.openxmlformats.org/spreadsheetml/2006/main">
  <c r="C9" i="1"/>
  <c r="C31" s="1"/>
  <c r="C8"/>
  <c r="C7"/>
  <c r="C6"/>
  <c r="C5"/>
  <c r="C4"/>
  <c r="E7"/>
  <c r="B10"/>
  <c r="B42" l="1"/>
  <c r="D4"/>
  <c r="B5" i="2" s="1"/>
  <c r="B37" i="1"/>
  <c r="E6"/>
  <c r="F6" s="1"/>
  <c r="B39"/>
  <c r="D8"/>
  <c r="C41"/>
  <c r="B41"/>
  <c r="C19" i="2"/>
  <c r="C40" i="1"/>
  <c r="B17" i="2"/>
  <c r="B38" i="1"/>
  <c r="D7"/>
  <c r="B40"/>
  <c r="D9"/>
  <c r="B10" i="2" s="1"/>
  <c r="D6" i="1"/>
  <c r="B18" i="2"/>
  <c r="F7" i="1"/>
  <c r="B19" i="2"/>
  <c r="F8" i="1"/>
  <c r="C20" i="2"/>
  <c r="B20"/>
  <c r="E9" i="1"/>
  <c r="B21" i="2"/>
  <c r="B16" i="1"/>
  <c r="C16" s="1"/>
  <c r="B14"/>
  <c r="C14" s="1"/>
  <c r="B16" i="2"/>
  <c r="E5" i="1"/>
  <c r="D5"/>
  <c r="B15"/>
  <c r="C15" s="1"/>
  <c r="C10"/>
  <c r="C42" l="1"/>
  <c r="C30"/>
  <c r="B31"/>
  <c r="F9"/>
  <c r="B25"/>
  <c r="E10"/>
  <c r="C38"/>
  <c r="C9" i="2"/>
  <c r="C29" i="1"/>
  <c r="C8" i="2"/>
  <c r="C28" i="1"/>
  <c r="C7" i="2"/>
  <c r="C27" i="1"/>
  <c r="B9" i="2"/>
  <c r="B29" i="1"/>
  <c r="C18" i="2"/>
  <c r="C39" i="1"/>
  <c r="B6" i="2"/>
  <c r="B26" i="1"/>
  <c r="B7" i="2"/>
  <c r="B27" i="1"/>
  <c r="B8" i="2"/>
  <c r="B28" i="1"/>
  <c r="D10"/>
  <c r="B43"/>
  <c r="B53" s="1"/>
  <c r="B11" i="2"/>
  <c r="A32" s="1"/>
  <c r="B22"/>
  <c r="C21"/>
  <c r="C17"/>
  <c r="F5" i="1"/>
  <c r="C26" s="1"/>
  <c r="C32" s="1"/>
  <c r="B32" l="1"/>
  <c r="A53" s="1"/>
  <c r="C53" s="1"/>
  <c r="C22" i="2"/>
  <c r="C43" i="1"/>
  <c r="B48" s="1"/>
  <c r="B27" i="2"/>
  <c r="C10"/>
  <c r="B32"/>
  <c r="C32" s="1"/>
  <c r="C6"/>
  <c r="F10" i="1"/>
  <c r="A19" s="1"/>
  <c r="A48" l="1"/>
  <c r="C48" s="1"/>
  <c r="C11" i="2"/>
  <c r="A27" s="1"/>
  <c r="C27" s="1"/>
</calcChain>
</file>

<file path=xl/sharedStrings.xml><?xml version="1.0" encoding="utf-8"?>
<sst xmlns="http://schemas.openxmlformats.org/spreadsheetml/2006/main" count="81" uniqueCount="40">
  <si>
    <t>野生動物の保護地区</t>
    <rPh sb="0" eb="2">
      <t>ヤセイ</t>
    </rPh>
    <rPh sb="2" eb="4">
      <t>ドウブツ</t>
    </rPh>
    <rPh sb="5" eb="7">
      <t>ホゴ</t>
    </rPh>
    <rPh sb="7" eb="9">
      <t>チク</t>
    </rPh>
    <phoneticPr fontId="3"/>
  </si>
  <si>
    <t>トレイル</t>
    <phoneticPr fontId="3"/>
  </si>
  <si>
    <t>キャンプ地</t>
    <rPh sb="4" eb="5">
      <t>チ</t>
    </rPh>
    <phoneticPr fontId="3"/>
  </si>
  <si>
    <t>狩猟</t>
    <rPh sb="0" eb="2">
      <t>シュリョウ</t>
    </rPh>
    <phoneticPr fontId="3"/>
  </si>
  <si>
    <t>フィッシング</t>
    <phoneticPr fontId="3"/>
  </si>
  <si>
    <t>木材伐採</t>
    <rPh sb="0" eb="2">
      <t>モクザイ</t>
    </rPh>
    <rPh sb="2" eb="4">
      <t>バッサイ</t>
    </rPh>
    <phoneticPr fontId="3"/>
  </si>
  <si>
    <t>マス数</t>
    <rPh sb="2" eb="3">
      <t>スウ</t>
    </rPh>
    <phoneticPr fontId="3"/>
  </si>
  <si>
    <t>面積(acre)</t>
    <rPh sb="0" eb="2">
      <t>メンセキ</t>
    </rPh>
    <phoneticPr fontId="3"/>
  </si>
  <si>
    <t>森林活用方法</t>
    <rPh sb="0" eb="2">
      <t>シンリン</t>
    </rPh>
    <rPh sb="2" eb="4">
      <t>カツヨウ</t>
    </rPh>
    <rPh sb="4" eb="6">
      <t>ホウホウ</t>
    </rPh>
    <phoneticPr fontId="3"/>
  </si>
  <si>
    <t>合計</t>
    <rPh sb="0" eb="2">
      <t>ゴウケイ</t>
    </rPh>
    <phoneticPr fontId="3"/>
  </si>
  <si>
    <t>伐採する木(本)</t>
    <rPh sb="0" eb="2">
      <t>バッサイ</t>
    </rPh>
    <rPh sb="4" eb="5">
      <t>キ</t>
    </rPh>
    <rPh sb="6" eb="7">
      <t>ホン</t>
    </rPh>
    <phoneticPr fontId="3"/>
  </si>
  <si>
    <t>必要とされるトレイル・道(mile)</t>
    <rPh sb="0" eb="2">
      <t>ヒツヨウ</t>
    </rPh>
    <rPh sb="11" eb="12">
      <t>ミチ</t>
    </rPh>
    <phoneticPr fontId="3"/>
  </si>
  <si>
    <t>生息可能域の面積(acre)</t>
    <rPh sb="0" eb="2">
      <t>セイソク</t>
    </rPh>
    <rPh sb="2" eb="4">
      <t>カノウ</t>
    </rPh>
    <rPh sb="4" eb="5">
      <t>イキ</t>
    </rPh>
    <rPh sb="6" eb="8">
      <t>メンセキ</t>
    </rPh>
    <phoneticPr fontId="3"/>
  </si>
  <si>
    <t>生息数(羽・匹)</t>
    <rPh sb="0" eb="3">
      <t>セイソクスウ</t>
    </rPh>
    <rPh sb="4" eb="5">
      <t>ワ</t>
    </rPh>
    <rPh sb="6" eb="7">
      <t>ヒキ</t>
    </rPh>
    <phoneticPr fontId="3"/>
  </si>
  <si>
    <t>ふくろう</t>
    <phoneticPr fontId="3"/>
  </si>
  <si>
    <t>モリネズミ</t>
    <phoneticPr fontId="3"/>
  </si>
  <si>
    <t>サラマンダー</t>
    <phoneticPr fontId="3"/>
  </si>
  <si>
    <t>収入</t>
    <rPh sb="0" eb="2">
      <t>シュウニュウ</t>
    </rPh>
    <phoneticPr fontId="3"/>
  </si>
  <si>
    <t>ビジター人数(人)</t>
    <rPh sb="4" eb="5">
      <t>ニン</t>
    </rPh>
    <rPh sb="5" eb="6">
      <t>スウ</t>
    </rPh>
    <rPh sb="7" eb="8">
      <t>ニン</t>
    </rPh>
    <phoneticPr fontId="3"/>
  </si>
  <si>
    <t>一年あたりの利用料金($)</t>
    <rPh sb="0" eb="2">
      <t>イチネン</t>
    </rPh>
    <rPh sb="6" eb="8">
      <t>リヨウ</t>
    </rPh>
    <rPh sb="8" eb="10">
      <t>リョウキン</t>
    </rPh>
    <phoneticPr fontId="3"/>
  </si>
  <si>
    <t>木材販売収益($)</t>
    <rPh sb="0" eb="2">
      <t>モクザイ</t>
    </rPh>
    <rPh sb="2" eb="4">
      <t>ハンバイ</t>
    </rPh>
    <rPh sb="4" eb="6">
      <t>シュウエキ</t>
    </rPh>
    <phoneticPr fontId="3"/>
  </si>
  <si>
    <t>経費</t>
    <rPh sb="0" eb="2">
      <t>ケイヒ</t>
    </rPh>
    <phoneticPr fontId="3"/>
  </si>
  <si>
    <t>年間管理費($)</t>
    <rPh sb="0" eb="2">
      <t>ネンカン</t>
    </rPh>
    <rPh sb="2" eb="5">
      <t>カンリヒ</t>
    </rPh>
    <phoneticPr fontId="3"/>
  </si>
  <si>
    <t>建設費($)</t>
    <rPh sb="0" eb="3">
      <t>ケンセツヒ</t>
    </rPh>
    <phoneticPr fontId="3"/>
  </si>
  <si>
    <t>初年度の損益</t>
    <rPh sb="0" eb="3">
      <t>ショネンド</t>
    </rPh>
    <rPh sb="4" eb="6">
      <t>ソンエキ</t>
    </rPh>
    <phoneticPr fontId="3"/>
  </si>
  <si>
    <t>次年度以降の損益</t>
    <rPh sb="0" eb="3">
      <t>ジネンド</t>
    </rPh>
    <rPh sb="3" eb="5">
      <t>イコウ</t>
    </rPh>
    <rPh sb="6" eb="8">
      <t>ソンエキ</t>
    </rPh>
    <phoneticPr fontId="3"/>
  </si>
  <si>
    <t>合計収益($)</t>
    <rPh sb="0" eb="2">
      <t>ゴウケイ</t>
    </rPh>
    <rPh sb="2" eb="4">
      <t>シュウエキ</t>
    </rPh>
    <phoneticPr fontId="3"/>
  </si>
  <si>
    <t>合計費用($)</t>
    <rPh sb="0" eb="2">
      <t>ゴウケイ</t>
    </rPh>
    <rPh sb="2" eb="4">
      <t>ヒヨウ</t>
    </rPh>
    <phoneticPr fontId="3"/>
  </si>
  <si>
    <t>純資産($)</t>
    <rPh sb="0" eb="3">
      <t>ジュンシサン</t>
    </rPh>
    <phoneticPr fontId="3"/>
  </si>
  <si>
    <t>指標生物</t>
    <rPh sb="0" eb="2">
      <t>シヒョウ</t>
    </rPh>
    <rPh sb="2" eb="4">
      <t>セイブツ</t>
    </rPh>
    <phoneticPr fontId="3"/>
  </si>
  <si>
    <t>残存している樹木(本)</t>
    <rPh sb="0" eb="2">
      <t>ザンゾン</t>
    </rPh>
    <rPh sb="6" eb="8">
      <t>ジュモク</t>
    </rPh>
    <rPh sb="9" eb="10">
      <t>ホン</t>
    </rPh>
    <phoneticPr fontId="3"/>
  </si>
  <si>
    <t>ハンティング</t>
    <phoneticPr fontId="3"/>
  </si>
  <si>
    <t>ハンティング</t>
    <phoneticPr fontId="3"/>
  </si>
  <si>
    <t>初年度の収支</t>
    <rPh sb="0" eb="3">
      <t>ショネンド</t>
    </rPh>
    <rPh sb="4" eb="6">
      <t>シュウシ</t>
    </rPh>
    <phoneticPr fontId="3"/>
  </si>
  <si>
    <t>次年度以降の収支</t>
    <rPh sb="0" eb="3">
      <t>ジネンド</t>
    </rPh>
    <rPh sb="3" eb="5">
      <t>イコウ</t>
    </rPh>
    <rPh sb="6" eb="8">
      <t>シュウシ</t>
    </rPh>
    <phoneticPr fontId="3"/>
  </si>
  <si>
    <t>収支($)</t>
    <rPh sb="0" eb="2">
      <t>シュウシ</t>
    </rPh>
    <phoneticPr fontId="3"/>
  </si>
  <si>
    <t>支出</t>
    <rPh sb="0" eb="2">
      <t>シシュツ</t>
    </rPh>
    <phoneticPr fontId="3"/>
  </si>
  <si>
    <t>木材生産</t>
    <rPh sb="0" eb="2">
      <t>モクザイ</t>
    </rPh>
    <rPh sb="2" eb="4">
      <t>セイサン</t>
    </rPh>
    <phoneticPr fontId="3"/>
  </si>
  <si>
    <t>木材生産(道路建設時)</t>
    <rPh sb="0" eb="2">
      <t>モクザイ</t>
    </rPh>
    <rPh sb="2" eb="4">
      <t>セイサン</t>
    </rPh>
    <rPh sb="5" eb="7">
      <t>ドウロ</t>
    </rPh>
    <rPh sb="7" eb="9">
      <t>ケンセツ</t>
    </rPh>
    <rPh sb="9" eb="10">
      <t>ジ</t>
    </rPh>
    <phoneticPr fontId="3"/>
  </si>
  <si>
    <t>木材生産(通常)</t>
    <rPh sb="0" eb="2">
      <t>モクザイ</t>
    </rPh>
    <rPh sb="2" eb="4">
      <t>セイサン</t>
    </rPh>
    <rPh sb="5" eb="7">
      <t>ツウジョウ</t>
    </rPh>
    <phoneticPr fontId="3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</si>
</sst>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4" borderId="0" xfId="4">
      <alignment vertical="center"/>
    </xf>
    <xf numFmtId="0" fontId="4" fillId="0" borderId="0" xfId="0" applyFont="1">
      <alignment vertical="center"/>
    </xf>
    <xf numFmtId="0" fontId="2" fillId="2" borderId="1" xfId="2" applyBorder="1">
      <alignment vertical="center"/>
    </xf>
    <xf numFmtId="38" fontId="0" fillId="0" borderId="0" xfId="1" applyFont="1">
      <alignment vertical="center"/>
    </xf>
    <xf numFmtId="38" fontId="0" fillId="5" borderId="0" xfId="1" applyFont="1" applyFill="1">
      <alignment vertical="center"/>
    </xf>
    <xf numFmtId="38" fontId="6" fillId="2" borderId="1" xfId="1" applyFont="1" applyFill="1" applyBorder="1">
      <alignment vertical="center"/>
    </xf>
    <xf numFmtId="38" fontId="2" fillId="4" borderId="0" xfId="1" applyFont="1" applyFill="1">
      <alignment vertical="center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38" fontId="0" fillId="0" borderId="0" xfId="1" applyFont="1" applyAlignment="1">
      <alignment vertical="center" wrapText="1"/>
    </xf>
    <xf numFmtId="0" fontId="0" fillId="5" borderId="0" xfId="0" applyFill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3" borderId="0" xfId="3" applyBorder="1" applyAlignment="1">
      <alignment vertical="center" wrapText="1"/>
    </xf>
    <xf numFmtId="0" fontId="5" fillId="3" borderId="0" xfId="3" applyFont="1" applyBorder="1" applyAlignment="1">
      <alignment vertical="center" wrapText="1"/>
    </xf>
    <xf numFmtId="38" fontId="5" fillId="3" borderId="0" xfId="1" applyFont="1" applyFill="1" applyBorder="1" applyAlignment="1">
      <alignment vertical="center" wrapText="1"/>
    </xf>
    <xf numFmtId="176" fontId="5" fillId="3" borderId="0" xfId="3" applyNumberFormat="1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</cellXfs>
  <cellStyles count="5">
    <cellStyle name="40% - アクセント 1" xfId="3" builtinId="31"/>
    <cellStyle name="60% - アクセント 2" xfId="4" builtinId="36"/>
    <cellStyle name="アクセント 1" xfId="2" builtinId="29"/>
    <cellStyle name="桁区切り" xfId="1" builtinId="6"/>
    <cellStyle name="標準" xfId="0" builtinId="0"/>
  </cellStyles>
  <dxfs count="32"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font>
        <b/>
        <strike val="0"/>
        <outline val="0"/>
        <shadow val="0"/>
        <u val="none"/>
        <vertAlign val="baseline"/>
        <sz val="16"/>
        <color theme="1"/>
        <name val="ＭＳ Ｐゴシック"/>
        <scheme val="minor"/>
      </font>
    </dxf>
    <dxf>
      <numFmt numFmtId="6" formatCode="#,##0;[Red]\-#,##0"/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numFmt numFmtId="0" formatCode="General"/>
      <alignment horizontal="general" vertical="center" textRotation="0" wrapText="1" indent="0" relativeIndent="255" justifyLastLine="0" shrinkToFit="0" readingOrder="0"/>
    </dxf>
    <dxf>
      <numFmt numFmtId="0" formatCode="General"/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25</xdr:row>
      <xdr:rowOff>114300</xdr:rowOff>
    </xdr:from>
    <xdr:to>
      <xdr:col>5</xdr:col>
      <xdr:colOff>447675</xdr:colOff>
      <xdr:row>37</xdr:row>
      <xdr:rowOff>9524</xdr:rowOff>
    </xdr:to>
    <xdr:pic>
      <xdr:nvPicPr>
        <xdr:cNvPr id="3" name="図 2" descr="サラマンダー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24225" y="5505450"/>
          <a:ext cx="2362200" cy="1952624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142876</xdr:colOff>
      <xdr:row>18</xdr:row>
      <xdr:rowOff>143054</xdr:rowOff>
    </xdr:from>
    <xdr:to>
      <xdr:col>5</xdr:col>
      <xdr:colOff>495301</xdr:colOff>
      <xdr:row>24</xdr:row>
      <xdr:rowOff>92690</xdr:rowOff>
    </xdr:to>
    <xdr:pic>
      <xdr:nvPicPr>
        <xdr:cNvPr id="4" name="図 3" descr="オウル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24351" y="4334054"/>
          <a:ext cx="1409700" cy="1149786"/>
        </a:xfrm>
        <a:prstGeom prst="rect">
          <a:avLst/>
        </a:prstGeom>
      </xdr:spPr>
    </xdr:pic>
    <xdr:clientData/>
  </xdr:twoCellAnchor>
  <xdr:twoCellAnchor editAs="oneCell">
    <xdr:from>
      <xdr:col>3</xdr:col>
      <xdr:colOff>304799</xdr:colOff>
      <xdr:row>12</xdr:row>
      <xdr:rowOff>142875</xdr:rowOff>
    </xdr:from>
    <xdr:to>
      <xdr:col>4</xdr:col>
      <xdr:colOff>847725</xdr:colOff>
      <xdr:row>17</xdr:row>
      <xdr:rowOff>359570</xdr:rowOff>
    </xdr:to>
    <xdr:pic>
      <xdr:nvPicPr>
        <xdr:cNvPr id="5" name="図 4" descr="ヤマネ？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67099" y="2695575"/>
          <a:ext cx="1562101" cy="1464470"/>
        </a:xfrm>
        <a:prstGeom prst="rect">
          <a:avLst/>
        </a:prstGeom>
      </xdr:spPr>
    </xdr:pic>
    <xdr:clientData/>
  </xdr:twoCellAnchor>
  <xdr:twoCellAnchor editAs="oneCell">
    <xdr:from>
      <xdr:col>3</xdr:col>
      <xdr:colOff>914400</xdr:colOff>
      <xdr:row>41</xdr:row>
      <xdr:rowOff>142875</xdr:rowOff>
    </xdr:from>
    <xdr:to>
      <xdr:col>5</xdr:col>
      <xdr:colOff>561975</xdr:colOff>
      <xdr:row>50</xdr:row>
      <xdr:rowOff>123825</xdr:rowOff>
    </xdr:to>
    <xdr:pic>
      <xdr:nvPicPr>
        <xdr:cNvPr id="6" name="図 5" descr="ドル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76700" y="8277225"/>
          <a:ext cx="1724025" cy="1590675"/>
        </a:xfrm>
        <a:prstGeom prst="rect">
          <a:avLst/>
        </a:prstGeom>
      </xdr:spPr>
    </xdr:pic>
    <xdr:clientData/>
  </xdr:twoCellAnchor>
  <xdr:twoCellAnchor>
    <xdr:from>
      <xdr:col>5</xdr:col>
      <xdr:colOff>228600</xdr:colOff>
      <xdr:row>11</xdr:row>
      <xdr:rowOff>142875</xdr:rowOff>
    </xdr:from>
    <xdr:to>
      <xdr:col>5</xdr:col>
      <xdr:colOff>342900</xdr:colOff>
      <xdr:row>12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5467350" y="2524125"/>
          <a:ext cx="114300" cy="4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285751</xdr:colOff>
      <xdr:row>0</xdr:row>
      <xdr:rowOff>152400</xdr:rowOff>
    </xdr:from>
    <xdr:to>
      <xdr:col>4</xdr:col>
      <xdr:colOff>114302</xdr:colOff>
      <xdr:row>0</xdr:row>
      <xdr:rowOff>723900</xdr:rowOff>
    </xdr:to>
    <xdr:sp macro="" textlink="">
      <xdr:nvSpPr>
        <xdr:cNvPr id="8" name="テキスト ボックス 7"/>
        <xdr:cNvSpPr txBox="1"/>
      </xdr:nvSpPr>
      <xdr:spPr>
        <a:xfrm>
          <a:off x="285751" y="152400"/>
          <a:ext cx="4010026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solidFill>
                <a:srgbClr val="00B050"/>
              </a:solidFill>
            </a:rPr>
            <a:t>プーさんの森　収支見積もり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28</xdr:row>
      <xdr:rowOff>46420</xdr:rowOff>
    </xdr:from>
    <xdr:to>
      <xdr:col>5</xdr:col>
      <xdr:colOff>28575</xdr:colOff>
      <xdr:row>32</xdr:row>
      <xdr:rowOff>95250</xdr:rowOff>
    </xdr:to>
    <xdr:pic>
      <xdr:nvPicPr>
        <xdr:cNvPr id="3" name="図 2" descr="ドル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67300" y="5018470"/>
          <a:ext cx="1019175" cy="896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テーブル2" displayName="テーブル2" ref="A3:F10" totalsRowShown="0" headerRowDxfId="31" dataDxfId="30">
  <autoFilter ref="A3:F10"/>
  <tableColumns count="6">
    <tableColumn id="1" name="森林活用方法" dataDxfId="29"/>
    <tableColumn id="2" name="マス数" dataDxfId="28"/>
    <tableColumn id="3" name="面積(acre)" dataDxfId="27">
      <calculatedColumnFormula>(B4*4)</calculatedColumnFormula>
    </tableColumn>
    <tableColumn id="4" name="ビジター人数(人)" dataDxfId="26" dataCellStyle="桁区切り">
      <calculatedColumnFormula>(B4*5)</calculatedColumnFormula>
    </tableColumn>
    <tableColumn id="5" name="必要とされるトレイル・道(mile)" dataDxfId="25"/>
    <tableColumn id="6" name="伐採する木(本)" dataDxfId="24"/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A26:C27" totalsRowShown="0" dataDxfId="7">
  <autoFilter ref="A26:C27"/>
  <tableColumns count="3">
    <tableColumn id="1" name="合計収益($)" dataDxfId="6">
      <calculatedColumnFormula>B11+C11</calculatedColumnFormula>
    </tableColumn>
    <tableColumn id="2" name="合計費用($)" dataDxfId="5">
      <calculatedColumnFormula>B22+C22</calculatedColumnFormula>
    </tableColumn>
    <tableColumn id="3" name="純資産($)" dataDxfId="4">
      <calculatedColumnFormula>A27-B27</calculatedColumnFormula>
    </tableColumn>
  </tableColumns>
  <tableStyleInfo name="TableStyleDark7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A31:C32" totalsRowShown="0" dataDxfId="3">
  <autoFilter ref="A31:C32"/>
  <tableColumns count="3">
    <tableColumn id="1" name="合計収益($)" dataDxfId="2">
      <calculatedColumnFormula>B11+ROUND(Sheet1!C9/35*150,0)*50</calculatedColumnFormula>
    </tableColumn>
    <tableColumn id="2" name="合計費用($)" dataDxfId="1">
      <calculatedColumnFormula>B22</calculatedColumnFormula>
    </tableColumn>
    <tableColumn id="3" name="純資産($)" dataDxfId="0">
      <calculatedColumnFormula>[合計収益($)]-[合計費用($)]</calculatedColumnFormula>
    </tableColumn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id="4" name="テーブル4" displayName="テーブル4" ref="A13:C16" totalsRowShown="0" headerRowDxfId="23" dataDxfId="22">
  <autoFilter ref="A13:C16"/>
  <tableColumns count="3">
    <tableColumn id="1" name="指標生物" dataDxfId="21"/>
    <tableColumn id="2" name="生息可能域の面積(acre)" dataDxfId="20" dataCellStyle="桁区切り">
      <calculatedColumnFormula>$C$4+$C$5+$C$7+$C$9</calculatedColumnFormula>
    </tableColumn>
    <tableColumn id="3" name="生息数(羽・匹)" dataDxfId="19" dataCellStyle="桁区切り">
      <calculatedColumnFormula>B14*0.02</calculatedColumnFormula>
    </tableColumn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id="1" name="テーブル1" displayName="テーブル1" ref="A18:A19" totalsRowShown="0" headerRowDxfId="18" dataDxfId="17">
  <autoFilter ref="A18:A19"/>
  <tableColumns count="1">
    <tableColumn id="1" name="残存している樹木(本)" dataDxfId="16">
      <calculatedColumnFormula>60000-F10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id="3" name="テーブル54" displayName="テーブル54" ref="A24:C32" totalsRowShown="0">
  <autoFilter ref="A24:C32"/>
  <tableColumns count="3">
    <tableColumn id="1" name="森林活用方法"/>
    <tableColumn id="2" name="一年あたりの利用料金($)" dataCellStyle="桁区切り">
      <calculatedColumnFormula>Sheet1!D24*2</calculatedColumnFormula>
    </tableColumn>
    <tableColumn id="3" name="木材販売収益($)" dataCellStyle="桁区切り">
      <calculatedColumnFormula>Sheet1!F24*50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6" name="テーブル87" displayName="テーブル87" ref="A36:C43" totalsRowShown="0">
  <autoFilter ref="A36:C43"/>
  <tableColumns count="3">
    <tableColumn id="1" name="森林活用方法"/>
    <tableColumn id="2" name="年間管理費($)" dataCellStyle="桁区切り">
      <calculatedColumnFormula>Sheet1!C24*2.5</calculatedColumnFormula>
    </tableColumn>
    <tableColumn id="3" name="建設費($)" dataCellStyle="桁区切り">
      <calculatedColumnFormula>Sheet1!E24*100</calculatedColumnFormula>
    </tableColumn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id="7" name="テーブル108" displayName="テーブル108" ref="A47:C48" totalsRowShown="0" dataDxfId="15">
  <autoFilter ref="A47:C48"/>
  <tableColumns count="3">
    <tableColumn id="1" name="合計収益($)" dataDxfId="14">
      <calculatedColumnFormula>B32+C32</calculatedColumnFormula>
    </tableColumn>
    <tableColumn id="2" name="合計費用($)" dataDxfId="13">
      <calculatedColumnFormula>B43+C43</calculatedColumnFormula>
    </tableColumn>
    <tableColumn id="3" name="収支($)" dataDxfId="12">
      <calculatedColumnFormula>A48-B48</calculatedColumnFormula>
    </tableColumn>
  </tableColumns>
  <tableStyleInfo name="TableStyleDark7" showFirstColumn="0" showLastColumn="0" showRowStripes="1" showColumnStripes="0"/>
</table>
</file>

<file path=xl/tables/table7.xml><?xml version="1.0" encoding="utf-8"?>
<table xmlns="http://schemas.openxmlformats.org/spreadsheetml/2006/main" id="9" name="テーブル1110" displayName="テーブル1110" ref="A52:C53" totalsRowShown="0" dataDxfId="11">
  <autoFilter ref="A52:C53"/>
  <tableColumns count="3">
    <tableColumn id="1" name="合計収益($)" dataDxfId="10">
      <calculatedColumnFormula>B32+ROUND(Sheet1!C9/35*150,0)*50</calculatedColumnFormula>
    </tableColumn>
    <tableColumn id="2" name="合計費用($)" dataDxfId="9">
      <calculatedColumnFormula>B43</calculatedColumnFormula>
    </tableColumn>
    <tableColumn id="3" name="収支($)" dataDxfId="8">
      <calculatedColumnFormula>[合計収益($)]-[合計費用($)]</calculatedColumnFormula>
    </tableColumn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id="5" name="テーブル5" displayName="テーブル5" ref="A4:C11" totalsRowShown="0">
  <autoFilter ref="A4:C11"/>
  <tableColumns count="3">
    <tableColumn id="1" name="森林活用方法"/>
    <tableColumn id="2" name="一年あたりの利用料金($)" dataCellStyle="桁区切り">
      <calculatedColumnFormula>Sheet1!D4*2</calculatedColumnFormula>
    </tableColumn>
    <tableColumn id="3" name="木材販売収益($)" dataCellStyle="桁区切り">
      <calculatedColumnFormula>Sheet1!F4*50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id="8" name="テーブル8" displayName="テーブル8" ref="A15:C22" totalsRowShown="0">
  <autoFilter ref="A15:C22"/>
  <tableColumns count="3">
    <tableColumn id="1" name="森林活用方法"/>
    <tableColumn id="2" name="年間管理費($)" dataCellStyle="桁区切り">
      <calculatedColumnFormula>Sheet1!C4*2.5</calculatedColumnFormula>
    </tableColumn>
    <tableColumn id="3" name="建設費($)" dataCellStyle="桁区切り">
      <calculatedColumnFormula>Sheet1!E4*100</calculatedColumnFormula>
    </tableColumn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27" zoomScaleNormal="100" workbookViewId="0">
      <selection activeCell="A43" sqref="A43"/>
    </sheetView>
  </sheetViews>
  <sheetFormatPr defaultRowHeight="13.5"/>
  <cols>
    <col min="1" max="1" width="19.125" customWidth="1"/>
    <col min="2" max="2" width="12.75" customWidth="1"/>
    <col min="3" max="3" width="11.375" customWidth="1"/>
    <col min="4" max="4" width="13.375" customWidth="1"/>
    <col min="5" max="5" width="13.875" customWidth="1"/>
    <col min="6" max="6" width="13.5" customWidth="1"/>
  </cols>
  <sheetData>
    <row r="1" spans="1:7" ht="75.75" customHeight="1">
      <c r="A1" s="10"/>
      <c r="B1" s="10"/>
      <c r="C1" s="10"/>
      <c r="D1" s="10"/>
      <c r="E1" s="10"/>
      <c r="F1" s="10"/>
      <c r="G1" s="10"/>
    </row>
    <row r="2" spans="1:7">
      <c r="A2" s="11"/>
      <c r="B2" s="10"/>
      <c r="C2" s="10"/>
      <c r="D2" s="10"/>
      <c r="E2" s="10"/>
      <c r="F2" s="10"/>
      <c r="G2" s="10"/>
    </row>
    <row r="3" spans="1:7" ht="52.5" customHeight="1">
      <c r="A3" s="10" t="s">
        <v>8</v>
      </c>
      <c r="B3" s="10" t="s">
        <v>6</v>
      </c>
      <c r="C3" s="10" t="s">
        <v>7</v>
      </c>
      <c r="D3" s="10" t="s">
        <v>18</v>
      </c>
      <c r="E3" s="10" t="s">
        <v>11</v>
      </c>
      <c r="F3" s="10" t="s">
        <v>10</v>
      </c>
      <c r="G3" s="10"/>
    </row>
    <row r="4" spans="1:7">
      <c r="A4" s="10" t="s">
        <v>0</v>
      </c>
      <c r="B4" s="10">
        <v>8</v>
      </c>
      <c r="C4" s="12">
        <f>($B$4*4)</f>
        <v>32</v>
      </c>
      <c r="D4" s="13">
        <f>($C$4*5)</f>
        <v>160</v>
      </c>
      <c r="E4" s="14"/>
      <c r="F4" s="14"/>
      <c r="G4" s="10"/>
    </row>
    <row r="5" spans="1:7">
      <c r="A5" s="10" t="s">
        <v>1</v>
      </c>
      <c r="B5" s="10">
        <v>17</v>
      </c>
      <c r="C5" s="12">
        <f>($B$5*4)</f>
        <v>68</v>
      </c>
      <c r="D5" s="13">
        <f>($C$5*25)</f>
        <v>1700</v>
      </c>
      <c r="E5" s="15">
        <f>$C$5/6</f>
        <v>11.333333333333334</v>
      </c>
      <c r="F5" s="13">
        <f>E5*0.36*150</f>
        <v>612</v>
      </c>
      <c r="G5" s="10"/>
    </row>
    <row r="6" spans="1:7">
      <c r="A6" s="10" t="s">
        <v>2</v>
      </c>
      <c r="B6" s="10">
        <v>10</v>
      </c>
      <c r="C6" s="12">
        <f>($B$6*4)</f>
        <v>40</v>
      </c>
      <c r="D6" s="13">
        <f>($C$6*50)</f>
        <v>2000</v>
      </c>
      <c r="E6" s="15">
        <f>$C$6*250/5280</f>
        <v>1.893939393939394</v>
      </c>
      <c r="F6" s="13">
        <f>E6*1.45*150</f>
        <v>411.93181818181819</v>
      </c>
      <c r="G6" s="10"/>
    </row>
    <row r="7" spans="1:7">
      <c r="A7" s="10" t="s">
        <v>32</v>
      </c>
      <c r="B7" s="10">
        <v>5</v>
      </c>
      <c r="C7" s="12">
        <f>($B$7*4)</f>
        <v>20</v>
      </c>
      <c r="D7" s="13">
        <f>($C$7*1)</f>
        <v>20</v>
      </c>
      <c r="E7" s="15">
        <f>$C$7*100/5280</f>
        <v>0.37878787878787878</v>
      </c>
      <c r="F7" s="13">
        <f>E7*1.45*150</f>
        <v>82.386363636363626</v>
      </c>
      <c r="G7" s="10"/>
    </row>
    <row r="8" spans="1:7">
      <c r="A8" s="10" t="s">
        <v>4</v>
      </c>
      <c r="B8" s="10">
        <v>10</v>
      </c>
      <c r="C8" s="12">
        <f>($B$8*4)</f>
        <v>40</v>
      </c>
      <c r="D8" s="13">
        <f>($C$8*2)</f>
        <v>80</v>
      </c>
      <c r="E8" s="14"/>
      <c r="F8" s="13">
        <f>$C$8*150</f>
        <v>6000</v>
      </c>
      <c r="G8" s="10"/>
    </row>
    <row r="9" spans="1:7">
      <c r="A9" s="10" t="s">
        <v>37</v>
      </c>
      <c r="B9" s="10">
        <v>50</v>
      </c>
      <c r="C9" s="12">
        <f>($B$9*4)</f>
        <v>200</v>
      </c>
      <c r="D9" s="13">
        <f>($C$9*5)</f>
        <v>1000</v>
      </c>
      <c r="E9" s="15">
        <f>$C$9*100/5280</f>
        <v>3.7878787878787881</v>
      </c>
      <c r="F9" s="13">
        <f>(E9*1.45*150)+($C$9/35*150)</f>
        <v>1681.0064935064934</v>
      </c>
      <c r="G9" s="10"/>
    </row>
    <row r="10" spans="1:7">
      <c r="A10" s="16" t="s">
        <v>9</v>
      </c>
      <c r="B10" s="17">
        <f>SUM(B4:B9)</f>
        <v>100</v>
      </c>
      <c r="C10" s="17">
        <f t="shared" ref="C10:F10" si="0">SUM(C4:C9)</f>
        <v>400</v>
      </c>
      <c r="D10" s="18">
        <f t="shared" si="0"/>
        <v>4960</v>
      </c>
      <c r="E10" s="19">
        <f t="shared" si="0"/>
        <v>17.393939393939394</v>
      </c>
      <c r="F10" s="18">
        <f t="shared" si="0"/>
        <v>8787.3246753246749</v>
      </c>
      <c r="G10" s="10"/>
    </row>
    <row r="11" spans="1:7">
      <c r="A11" s="10"/>
      <c r="B11" s="10"/>
      <c r="C11" s="10"/>
      <c r="D11" s="10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 ht="44.25" customHeight="1">
      <c r="A13" s="10" t="s">
        <v>29</v>
      </c>
      <c r="B13" s="10" t="s">
        <v>12</v>
      </c>
      <c r="C13" s="10" t="s">
        <v>13</v>
      </c>
      <c r="D13" s="10"/>
      <c r="E13" s="10"/>
      <c r="F13" s="10"/>
      <c r="G13" s="10"/>
    </row>
    <row r="14" spans="1:7">
      <c r="A14" s="10" t="s">
        <v>14</v>
      </c>
      <c r="B14" s="13">
        <f>$C$4+$C$7+$C$9</f>
        <v>252</v>
      </c>
      <c r="C14" s="13">
        <f t="shared" ref="C14" si="1">B14*0.02</f>
        <v>5.04</v>
      </c>
      <c r="D14" s="10"/>
      <c r="E14" s="10"/>
      <c r="F14" s="10"/>
      <c r="G14" s="10"/>
    </row>
    <row r="15" spans="1:7">
      <c r="A15" s="10" t="s">
        <v>15</v>
      </c>
      <c r="B15" s="13">
        <f t="shared" ref="B15" si="2">$C$4+$C$5+$C$7+$C$9</f>
        <v>320</v>
      </c>
      <c r="C15" s="13">
        <f>B15*1</f>
        <v>320</v>
      </c>
      <c r="D15" s="10"/>
      <c r="E15" s="10"/>
      <c r="F15" s="10"/>
      <c r="G15" s="10"/>
    </row>
    <row r="16" spans="1:7">
      <c r="A16" s="10" t="s">
        <v>16</v>
      </c>
      <c r="B16" s="13">
        <f>$C$4+$C$7+$C$9</f>
        <v>252</v>
      </c>
      <c r="C16" s="13">
        <f>B16*25</f>
        <v>6300</v>
      </c>
      <c r="D16" s="10"/>
      <c r="E16" s="10"/>
      <c r="F16" s="10"/>
      <c r="G16" s="10"/>
    </row>
    <row r="17" spans="1:7">
      <c r="A17" s="10"/>
      <c r="B17" s="10"/>
      <c r="C17" s="10"/>
      <c r="D17" s="10"/>
      <c r="E17" s="10"/>
      <c r="F17" s="10"/>
      <c r="G17" s="10"/>
    </row>
    <row r="18" spans="1:7" ht="30.75" customHeight="1">
      <c r="A18" s="10" t="s">
        <v>30</v>
      </c>
      <c r="B18" s="10"/>
      <c r="C18" s="10"/>
      <c r="D18" s="10"/>
      <c r="E18" s="10"/>
      <c r="F18" s="10"/>
      <c r="G18" s="10"/>
    </row>
    <row r="19" spans="1:7">
      <c r="A19" s="20">
        <f>60000-F10</f>
        <v>51212.675324675321</v>
      </c>
      <c r="B19" s="10"/>
      <c r="C19" s="10"/>
      <c r="D19" s="10"/>
      <c r="E19" s="10"/>
      <c r="F19" s="10"/>
      <c r="G19" s="10"/>
    </row>
    <row r="22" spans="1:7">
      <c r="A22" s="2" t="s">
        <v>17</v>
      </c>
    </row>
    <row r="24" spans="1:7" ht="27">
      <c r="A24" t="s">
        <v>8</v>
      </c>
      <c r="B24" s="10" t="s">
        <v>19</v>
      </c>
      <c r="C24" s="10" t="s">
        <v>20</v>
      </c>
    </row>
    <row r="25" spans="1:7">
      <c r="A25" t="s">
        <v>0</v>
      </c>
      <c r="B25" s="4">
        <f>Sheet1!D4*2</f>
        <v>320</v>
      </c>
      <c r="C25" s="5"/>
    </row>
    <row r="26" spans="1:7">
      <c r="A26" t="s">
        <v>1</v>
      </c>
      <c r="B26" s="4">
        <f>Sheet1!D5*2</f>
        <v>3400</v>
      </c>
      <c r="C26" s="4">
        <f>ROUND(Sheet1!F5,0)*50</f>
        <v>30600</v>
      </c>
    </row>
    <row r="27" spans="1:7">
      <c r="A27" t="s">
        <v>2</v>
      </c>
      <c r="B27" s="4">
        <f>Sheet1!D6*20/2</f>
        <v>20000</v>
      </c>
      <c r="C27" s="4">
        <f>ROUND(Sheet1!F6,0)*50</f>
        <v>20600</v>
      </c>
    </row>
    <row r="28" spans="1:7">
      <c r="A28" t="s">
        <v>31</v>
      </c>
      <c r="B28" s="4">
        <f>Sheet1!D7*5</f>
        <v>100</v>
      </c>
      <c r="C28" s="4">
        <f>ROUND(Sheet1!F7,0)*50</f>
        <v>4100</v>
      </c>
    </row>
    <row r="29" spans="1:7">
      <c r="A29" t="s">
        <v>4</v>
      </c>
      <c r="B29" s="4">
        <f>Sheet1!D8*2.5</f>
        <v>200</v>
      </c>
      <c r="C29" s="4">
        <f>ROUND(Sheet1!F8,0)*50</f>
        <v>300000</v>
      </c>
    </row>
    <row r="30" spans="1:7">
      <c r="A30" t="s">
        <v>38</v>
      </c>
      <c r="B30" s="5"/>
      <c r="C30" s="4">
        <f>ROUND(E9*1.45*150,0)*50</f>
        <v>41200</v>
      </c>
    </row>
    <row r="31" spans="1:7">
      <c r="A31" t="s">
        <v>39</v>
      </c>
      <c r="B31" s="4">
        <f>Sheet1!D9*2</f>
        <v>2000</v>
      </c>
      <c r="C31" s="4">
        <f>ROUND(C9/35*150,0)*50</f>
        <v>42850</v>
      </c>
    </row>
    <row r="32" spans="1:7">
      <c r="A32" s="3" t="s">
        <v>9</v>
      </c>
      <c r="B32" s="6">
        <f>SUM(B25:B31)</f>
        <v>26020</v>
      </c>
      <c r="C32" s="6">
        <f>SUM(C25:C31)</f>
        <v>439350</v>
      </c>
    </row>
    <row r="34" spans="1:3">
      <c r="A34" s="2" t="s">
        <v>36</v>
      </c>
    </row>
    <row r="36" spans="1:3">
      <c r="A36" t="s">
        <v>8</v>
      </c>
      <c r="B36" s="10" t="s">
        <v>22</v>
      </c>
      <c r="C36" s="10" t="s">
        <v>23</v>
      </c>
    </row>
    <row r="37" spans="1:3">
      <c r="A37" t="s">
        <v>0</v>
      </c>
      <c r="B37" s="4">
        <f>Sheet1!C4*2.5</f>
        <v>80</v>
      </c>
      <c r="C37" s="5"/>
    </row>
    <row r="38" spans="1:3">
      <c r="A38" t="s">
        <v>1</v>
      </c>
      <c r="B38" s="4">
        <f>Sheet1!C5*50</f>
        <v>3400</v>
      </c>
      <c r="C38" s="4">
        <f>Sheet1!E5*100</f>
        <v>1133.3333333333335</v>
      </c>
    </row>
    <row r="39" spans="1:3">
      <c r="A39" t="s">
        <v>2</v>
      </c>
      <c r="B39" s="4">
        <f>Sheet1!C6*200</f>
        <v>8000</v>
      </c>
      <c r="C39" s="4">
        <f>(Sheet1!E6*600)+(Sheet1!C6*4*1000)</f>
        <v>161136.36363636365</v>
      </c>
    </row>
    <row r="40" spans="1:3">
      <c r="A40" t="s">
        <v>31</v>
      </c>
      <c r="B40" s="4">
        <f>Sheet1!C7*5</f>
        <v>100</v>
      </c>
      <c r="C40" s="4">
        <f>Sheet1!E7*600</f>
        <v>227.27272727272728</v>
      </c>
    </row>
    <row r="41" spans="1:3">
      <c r="A41" t="s">
        <v>4</v>
      </c>
      <c r="B41" s="4">
        <f>Sheet1!C8*2.5</f>
        <v>100</v>
      </c>
      <c r="C41" s="4">
        <f>Sheet1!C8*3000</f>
        <v>120000</v>
      </c>
    </row>
    <row r="42" spans="1:3">
      <c r="A42" t="s">
        <v>37</v>
      </c>
      <c r="B42" s="4">
        <f>Sheet1!C9*5</f>
        <v>1000</v>
      </c>
      <c r="C42" s="4">
        <f>Sheet1!E9*600</f>
        <v>2272.727272727273</v>
      </c>
    </row>
    <row r="43" spans="1:3">
      <c r="A43" s="1" t="s">
        <v>9</v>
      </c>
      <c r="B43" s="7">
        <f>SUM(B37:B42)</f>
        <v>12680</v>
      </c>
      <c r="C43" s="7">
        <f>SUM(C38:C42)</f>
        <v>284769.69696969702</v>
      </c>
    </row>
    <row r="45" spans="1:3">
      <c r="A45" s="2" t="s">
        <v>33</v>
      </c>
    </row>
    <row r="47" spans="1:3">
      <c r="A47" t="s">
        <v>26</v>
      </c>
      <c r="B47" t="s">
        <v>27</v>
      </c>
      <c r="C47" t="s">
        <v>35</v>
      </c>
    </row>
    <row r="48" spans="1:3" ht="18.75">
      <c r="A48" s="8">
        <f>B32+C32</f>
        <v>465370</v>
      </c>
      <c r="B48" s="8">
        <f>B43+C43</f>
        <v>297449.69696969702</v>
      </c>
      <c r="C48" s="8">
        <f>A48-B48</f>
        <v>167920.30303030298</v>
      </c>
    </row>
    <row r="50" spans="1:3">
      <c r="A50" s="2" t="s">
        <v>34</v>
      </c>
    </row>
    <row r="52" spans="1:3">
      <c r="A52" t="s">
        <v>26</v>
      </c>
      <c r="B52" t="s">
        <v>27</v>
      </c>
      <c r="C52" t="s">
        <v>35</v>
      </c>
    </row>
    <row r="53" spans="1:3" ht="18.75">
      <c r="A53" s="9">
        <f>B32+ROUND(Sheet1!C9/35*150,0)*50</f>
        <v>68870</v>
      </c>
      <c r="B53" s="8">
        <f>B43</f>
        <v>12680</v>
      </c>
      <c r="C53" s="9">
        <f>[合計収益($)]-[合計費用($)]</f>
        <v>56190</v>
      </c>
    </row>
  </sheetData>
  <phoneticPr fontId="3"/>
  <pageMargins left="0.7" right="0.7" top="0.75" bottom="0.75" header="0.3" footer="0.3"/>
  <pageSetup paperSize="9" orientation="portrait" horizontalDpi="4294967294" verticalDpi="0" r:id="rId1"/>
  <ignoredErrors>
    <ignoredError sqref="C10:D10" calculatedColumn="1"/>
  </ignoredErrors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C32"/>
  <sheetViews>
    <sheetView workbookViewId="0">
      <selection activeCell="F34" sqref="A1:F34"/>
    </sheetView>
  </sheetViews>
  <sheetFormatPr defaultRowHeight="13.5"/>
  <cols>
    <col min="1" max="1" width="17.75" customWidth="1"/>
    <col min="2" max="2" width="25.25" customWidth="1"/>
    <col min="3" max="3" width="18.5" customWidth="1"/>
  </cols>
  <sheetData>
    <row r="2" spans="1:3">
      <c r="A2" s="2" t="s">
        <v>17</v>
      </c>
    </row>
    <row r="4" spans="1:3">
      <c r="A4" t="s">
        <v>8</v>
      </c>
      <c r="B4" t="s">
        <v>19</v>
      </c>
      <c r="C4" t="s">
        <v>20</v>
      </c>
    </row>
    <row r="5" spans="1:3">
      <c r="A5" t="s">
        <v>0</v>
      </c>
      <c r="B5" s="4">
        <f>Sheet1!D4*2</f>
        <v>320</v>
      </c>
      <c r="C5" s="5"/>
    </row>
    <row r="6" spans="1:3">
      <c r="A6" t="s">
        <v>1</v>
      </c>
      <c r="B6" s="4">
        <f>Sheet1!D5*2</f>
        <v>3400</v>
      </c>
      <c r="C6" s="4">
        <f>ROUND(Sheet1!F5,0)*50</f>
        <v>30600</v>
      </c>
    </row>
    <row r="7" spans="1:3">
      <c r="A7" t="s">
        <v>2</v>
      </c>
      <c r="B7" s="4">
        <f>Sheet1!D6*20/2</f>
        <v>20000</v>
      </c>
      <c r="C7" s="4">
        <f>ROUND(Sheet1!F6,0)*50</f>
        <v>20600</v>
      </c>
    </row>
    <row r="8" spans="1:3">
      <c r="A8" t="s">
        <v>3</v>
      </c>
      <c r="B8" s="4">
        <f>Sheet1!D7*5</f>
        <v>100</v>
      </c>
      <c r="C8" s="4">
        <f>ROUND(Sheet1!F7,0)*50</f>
        <v>4100</v>
      </c>
    </row>
    <row r="9" spans="1:3">
      <c r="A9" t="s">
        <v>4</v>
      </c>
      <c r="B9" s="4">
        <f>Sheet1!D8*2.5</f>
        <v>200</v>
      </c>
      <c r="C9" s="4">
        <f>ROUND(Sheet1!F8,0)*50</f>
        <v>300000</v>
      </c>
    </row>
    <row r="10" spans="1:3">
      <c r="A10" t="s">
        <v>5</v>
      </c>
      <c r="B10" s="4">
        <f>Sheet1!D9*2</f>
        <v>2000</v>
      </c>
      <c r="C10" s="4">
        <f>ROUND(Sheet1!F9,0)*50</f>
        <v>84050</v>
      </c>
    </row>
    <row r="11" spans="1:3">
      <c r="A11" s="3" t="s">
        <v>9</v>
      </c>
      <c r="B11" s="6">
        <f>SUM(B5:B10)</f>
        <v>26020</v>
      </c>
      <c r="C11" s="6">
        <f>SUM(C5:C10)</f>
        <v>439350</v>
      </c>
    </row>
    <row r="13" spans="1:3">
      <c r="A13" s="2" t="s">
        <v>21</v>
      </c>
    </row>
    <row r="15" spans="1:3">
      <c r="A15" t="s">
        <v>8</v>
      </c>
      <c r="B15" t="s">
        <v>22</v>
      </c>
      <c r="C15" t="s">
        <v>23</v>
      </c>
    </row>
    <row r="16" spans="1:3">
      <c r="A16" t="s">
        <v>0</v>
      </c>
      <c r="B16" s="4">
        <f>Sheet1!C4*2.5</f>
        <v>80</v>
      </c>
      <c r="C16" s="5"/>
    </row>
    <row r="17" spans="1:3">
      <c r="A17" t="s">
        <v>1</v>
      </c>
      <c r="B17" s="4">
        <f>Sheet1!C5*50</f>
        <v>3400</v>
      </c>
      <c r="C17" s="4">
        <f>Sheet1!E5*100</f>
        <v>1133.3333333333335</v>
      </c>
    </row>
    <row r="18" spans="1:3">
      <c r="A18" t="s">
        <v>2</v>
      </c>
      <c r="B18" s="4">
        <f>Sheet1!C6*200</f>
        <v>8000</v>
      </c>
      <c r="C18" s="4">
        <f>(Sheet1!E6*600)+(Sheet1!C6*4*1000)</f>
        <v>161136.36363636365</v>
      </c>
    </row>
    <row r="19" spans="1:3">
      <c r="A19" t="s">
        <v>3</v>
      </c>
      <c r="B19" s="4">
        <f>Sheet1!C7*5</f>
        <v>100</v>
      </c>
      <c r="C19" s="4">
        <f>Sheet1!E7*600</f>
        <v>227.27272727272728</v>
      </c>
    </row>
    <row r="20" spans="1:3">
      <c r="A20" t="s">
        <v>4</v>
      </c>
      <c r="B20" s="4">
        <f>Sheet1!C8*2.5</f>
        <v>100</v>
      </c>
      <c r="C20" s="4">
        <f>Sheet1!C8*3000</f>
        <v>120000</v>
      </c>
    </row>
    <row r="21" spans="1:3">
      <c r="A21" t="s">
        <v>5</v>
      </c>
      <c r="B21" s="4">
        <f>Sheet1!C9*5</f>
        <v>1000</v>
      </c>
      <c r="C21" s="4">
        <f>Sheet1!E9*600</f>
        <v>2272.727272727273</v>
      </c>
    </row>
    <row r="22" spans="1:3">
      <c r="A22" s="1" t="s">
        <v>9</v>
      </c>
      <c r="B22" s="7">
        <f>SUM(B16:B21)</f>
        <v>12680</v>
      </c>
      <c r="C22" s="7">
        <f>SUM(C17:C21)</f>
        <v>284769.69696969702</v>
      </c>
    </row>
    <row r="24" spans="1:3">
      <c r="A24" s="2" t="s">
        <v>24</v>
      </c>
    </row>
    <row r="26" spans="1:3">
      <c r="A26" t="s">
        <v>26</v>
      </c>
      <c r="B26" t="s">
        <v>27</v>
      </c>
      <c r="C26" t="s">
        <v>28</v>
      </c>
    </row>
    <row r="27" spans="1:3" ht="27" customHeight="1">
      <c r="A27" s="8">
        <f>B11+C11</f>
        <v>465370</v>
      </c>
      <c r="B27" s="8">
        <f>B22+C22</f>
        <v>297449.69696969702</v>
      </c>
      <c r="C27" s="8">
        <f>A27-B27</f>
        <v>167920.30303030298</v>
      </c>
    </row>
    <row r="29" spans="1:3">
      <c r="A29" s="2" t="s">
        <v>25</v>
      </c>
    </row>
    <row r="31" spans="1:3">
      <c r="A31" t="s">
        <v>26</v>
      </c>
      <c r="B31" t="s">
        <v>27</v>
      </c>
      <c r="C31" t="s">
        <v>28</v>
      </c>
    </row>
    <row r="32" spans="1:3" ht="26.25" customHeight="1">
      <c r="A32" s="9">
        <f>B11+ROUND(Sheet1!C9/35*150,0)*50</f>
        <v>68870</v>
      </c>
      <c r="B32" s="8">
        <f>B22</f>
        <v>12680</v>
      </c>
      <c r="C32" s="9">
        <f>[合計収益($)]-[合計費用($)]</f>
        <v>56190</v>
      </c>
    </row>
  </sheetData>
  <phoneticPr fontId="3"/>
  <pageMargins left="0.7" right="0.7" top="0.75" bottom="0.75" header="0.3" footer="0.3"/>
  <pageSetup paperSize="9" orientation="portrait" horizontalDpi="4294967294" verticalDpi="0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hobby</dc:creator>
  <cp:lastModifiedBy>hobby</cp:lastModifiedBy>
  <cp:lastPrinted>2012-11-16T01:49:08Z</cp:lastPrinted>
  <dcterms:created xsi:type="dcterms:W3CDTF">2012-11-15T15:53:19Z</dcterms:created>
  <dcterms:modified xsi:type="dcterms:W3CDTF">2012-11-17T02:15:52Z</dcterms:modified>
</cp:coreProperties>
</file>